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40" yWindow="360" windowWidth="24200" windowHeight="17300" tabRatio="500" activeTab="1"/>
  </bookViews>
  <sheets>
    <sheet name="Forudsætninger" sheetId="1" r:id="rId1"/>
    <sheet name="Beregning" sheetId="2" r:id="rId2"/>
  </sheets>
  <definedNames>
    <definedName name="Abonnement">'Forudsætninger'!$C$14</definedName>
    <definedName name="Areal">'Beregning'!$D$5</definedName>
    <definedName name="Beregningstabel">'Beregning'!$A$15:$J$47</definedName>
    <definedName name="Effektafgift">'Forudsætninger'!$C$15</definedName>
    <definedName name="Fjn_levetid">'Beregning'!$C$55</definedName>
    <definedName name="Fjn_pris">'Forudsætninger'!$C$16</definedName>
    <definedName name="Fjn_unit">'Beregning'!$H$8</definedName>
    <definedName name="Fjn_vedligehold">'Forudsætninger'!$C$24</definedName>
    <definedName name="Fjnprisstigning">'Beregning'!$H$12</definedName>
    <definedName name="Frakobling_af_gas">'Beregning'!$H$9</definedName>
    <definedName name="Gasafregningsbidrag">'Forudsætninger'!$C$28</definedName>
    <definedName name="Gasforbrug">'Beregning'!$D$3</definedName>
    <definedName name="Gasfyr">'Beregning'!$H$7</definedName>
    <definedName name="Gasfyr_levetid">'Beregning'!$C$54</definedName>
    <definedName name="Gaspris">'Forudsætninger'!$C$27</definedName>
    <definedName name="Gasprisstigning">'Beregning'!$H$11</definedName>
    <definedName name="Gasservice">'Forudsætninger'!$C$29</definedName>
    <definedName name="Gl_virkningsgrad">'Beregning'!$H$3</definedName>
    <definedName name="Investeringsbidrag">'Forudsætninger'!$C$7</definedName>
    <definedName name="Kælder">'Beregning'!$D$6</definedName>
    <definedName name="Løbetid">'Beregning'!$D$10</definedName>
    <definedName name="Nyt_fyr_år">'Beregning'!$D$8</definedName>
    <definedName name="Nyt_gasfyr_virkningsgrad">'Beregning'!$H$4</definedName>
    <definedName name="Rabat">'Forudsætninger'!$B$9:$C$11</definedName>
    <definedName name="Rente">'Beregning'!$D$11</definedName>
    <definedName name="Stikledning">'Forudsætninger'!$C$6</definedName>
    <definedName name="_xlnm.Print_Area" localSheetId="1">'Beregning'!$A$3:$J$56</definedName>
    <definedName name="År">'Beregning'!$A$17:$A$47</definedName>
  </definedNames>
  <calcPr fullCalcOnLoad="1"/>
</workbook>
</file>

<file path=xl/comments1.xml><?xml version="1.0" encoding="utf-8"?>
<comments xmlns="http://schemas.openxmlformats.org/spreadsheetml/2006/main">
  <authors>
    <author>S?ren Terp Madsen</author>
  </authors>
  <commentList>
    <comment ref="D16" authorId="0">
      <text>
        <r>
          <rPr>
            <sz val="11"/>
            <rFont val="Arial"/>
            <family val="0"/>
          </rPr>
          <t>m3 gas = 
0 ,011 MWh</t>
        </r>
      </text>
    </comment>
    <comment ref="C29" authorId="0">
      <text>
        <r>
          <rPr>
            <sz val="9"/>
            <rFont val="Arial"/>
            <family val="0"/>
          </rPr>
          <t>HTF: 1.875 kr.
HMN: 1.220 kr.</t>
        </r>
      </text>
    </comment>
  </commentList>
</comments>
</file>

<file path=xl/comments2.xml><?xml version="1.0" encoding="utf-8"?>
<comments xmlns="http://schemas.openxmlformats.org/spreadsheetml/2006/main">
  <authors>
    <author>S?ren Terp Madsen</author>
  </authors>
  <commentList>
    <comment ref="H8" authorId="0">
      <text>
        <r>
          <rPr>
            <sz val="11"/>
            <rFont val="Arial"/>
            <family val="0"/>
          </rPr>
          <t>HTF: 20.000 kr.
HMN: 40.000 kr.</t>
        </r>
      </text>
    </comment>
    <comment ref="H9" authorId="0">
      <text>
        <r>
          <rPr>
            <sz val="11"/>
            <rFont val="Arial"/>
            <family val="0"/>
          </rPr>
          <t>Jeres kontrakt berettiger måske ikke HMN til at opkræve dette gebyr</t>
        </r>
      </text>
    </comment>
    <comment ref="H7" authorId="0">
      <text>
        <r>
          <rPr>
            <sz val="10"/>
            <rFont val="Arial"/>
            <family val="0"/>
          </rPr>
          <t>HTF: 40.000 kr.
HMN: 38.000 kr.</t>
        </r>
      </text>
    </comment>
    <comment ref="H3" authorId="0">
      <text>
        <r>
          <rPr>
            <sz val="11"/>
            <rFont val="Arial"/>
            <family val="0"/>
          </rPr>
          <t>HTF: 85%</t>
        </r>
      </text>
    </comment>
    <comment ref="H4" authorId="0">
      <text>
        <r>
          <rPr>
            <sz val="10"/>
            <rFont val="Arial"/>
            <family val="0"/>
          </rPr>
          <t>Et kondenserende gasfyr har en virkningsgrad nær 100 % men er også dyrere</t>
        </r>
      </text>
    </comment>
    <comment ref="H11" authorId="0">
      <text>
        <r>
          <rPr>
            <sz val="10"/>
            <rFont val="Arial"/>
            <family val="0"/>
          </rPr>
          <t>Se hvad der sker hvis gasprisen stiger mere end fjernvarmen!</t>
        </r>
      </text>
    </comment>
    <comment ref="C54" authorId="0">
      <text>
        <r>
          <rPr>
            <sz val="10"/>
            <rFont val="Arial"/>
            <family val="0"/>
          </rPr>
          <t>Typisk 20 år</t>
        </r>
      </text>
    </comment>
    <comment ref="C55" authorId="0">
      <text>
        <r>
          <rPr>
            <sz val="10"/>
            <rFont val="Arial"/>
            <family val="0"/>
          </rPr>
          <t>Typisk 25 år</t>
        </r>
      </text>
    </comment>
  </commentList>
</comments>
</file>

<file path=xl/sharedStrings.xml><?xml version="1.0" encoding="utf-8"?>
<sst xmlns="http://schemas.openxmlformats.org/spreadsheetml/2006/main" count="62" uniqueCount="53">
  <si>
    <t>År</t>
  </si>
  <si>
    <t>Årligt forbrug</t>
  </si>
  <si>
    <t>Nyt gasfyr</t>
  </si>
  <si>
    <t>Fjernvarme</t>
  </si>
  <si>
    <t>Afskrivning</t>
  </si>
  <si>
    <t>Årlig udgifter i alt</t>
  </si>
  <si>
    <t>Nuværende gasforbrug</t>
  </si>
  <si>
    <t>Gaspris</t>
  </si>
  <si>
    <t>Gasprisstigning pr. år</t>
  </si>
  <si>
    <t>Gasfyr levetid</t>
  </si>
  <si>
    <t>Fjn levetid</t>
  </si>
  <si>
    <t>Fjn stigning i alt pr. år</t>
  </si>
  <si>
    <t>Investering i nyt gasfyr</t>
  </si>
  <si>
    <t>Frakobling af gas</t>
  </si>
  <si>
    <t>Rente</t>
  </si>
  <si>
    <t>Boligareal til beboelse</t>
  </si>
  <si>
    <t>Kælder og øvrige arealer som ikke må bruges til beboelse</t>
  </si>
  <si>
    <t>Stikledning</t>
  </si>
  <si>
    <t>Skift til nyt fyr/fjernvarme år</t>
  </si>
  <si>
    <t>Nuværende gasfyr</t>
  </si>
  <si>
    <t>Fjernvarme
dyrere/
billigere</t>
  </si>
  <si>
    <t>Akkumuleret
dyrere/
billigere</t>
  </si>
  <si>
    <t>Oplysninger fra Høje Taastrup Fjernvarmes prisliste 2012</t>
  </si>
  <si>
    <t>Investeringsbidrag</t>
  </si>
  <si>
    <t>pr. m2 (1)</t>
  </si>
  <si>
    <t>(1) Areal, der i Bygnings- og Boligregistret ikke er registreret som beboelses- eller erhvervsareal, indgår med 50%</t>
  </si>
  <si>
    <t>Rabat på ovenstående ved indgåelse af aftale i</t>
  </si>
  <si>
    <t>Investering</t>
  </si>
  <si>
    <t>Driftsomkostninger</t>
  </si>
  <si>
    <t>Abonnement</t>
  </si>
  <si>
    <t>pr. år</t>
  </si>
  <si>
    <t>Effektafgift</t>
  </si>
  <si>
    <t>pr. MWh</t>
  </si>
  <si>
    <t>Forbrugsafgift</t>
  </si>
  <si>
    <t>Anslåede priser</t>
  </si>
  <si>
    <t>Løbetid</t>
  </si>
  <si>
    <t>Vedligehold af fjernvarme-unit</t>
  </si>
  <si>
    <t>Gas</t>
  </si>
  <si>
    <t>Virkningsgrad nu</t>
  </si>
  <si>
    <t>Virkningsgr. nyt gasfyr</t>
  </si>
  <si>
    <t>Investering i fjnv-unit</t>
  </si>
  <si>
    <r>
      <t xml:space="preserve">Sæt jeres tal ind her </t>
    </r>
    <r>
      <rPr>
        <sz val="10"/>
        <color indexed="8"/>
        <rFont val="Wingdings"/>
        <family val="0"/>
      </rPr>
      <t></t>
    </r>
  </si>
  <si>
    <r>
      <t xml:space="preserve">HTF og HMN anslår forskellige tal </t>
    </r>
    <r>
      <rPr>
        <sz val="10"/>
        <color indexed="8"/>
        <rFont val="Wingdings"/>
        <family val="0"/>
      </rPr>
      <t></t>
    </r>
  </si>
  <si>
    <t>Peg på feltet og se kommentar</t>
  </si>
  <si>
    <t>Serviceaftale gas</t>
  </si>
  <si>
    <t>pr. m3</t>
  </si>
  <si>
    <t>Alternativ beregning</t>
  </si>
  <si>
    <t xml:space="preserve">Din finansiering </t>
  </si>
  <si>
    <t>med månedlig fast ydelse</t>
  </si>
  <si>
    <t>Opvarmes jeres hus med gas, så kan beregningsarket give jer en fornemmelse af, hvad der i løbet af nogle år kan spares ved fjernvarme.</t>
  </si>
  <si>
    <t>Afskrivning over installationens levetid, med ovenstående rentesats og faste forbrugspriser</t>
  </si>
  <si>
    <t>Tilbagebetalingstid mindre end</t>
  </si>
  <si>
    <t>Afregningsbidrag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</si>
</sst>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#,##0\ &quot;m3&quot;"/>
    <numFmt numFmtId="166" formatCode="#\ &quot;år&quot;"/>
    <numFmt numFmtId="167" formatCode="#\ &quot;m2&quot;"/>
    <numFmt numFmtId="168" formatCode="#,##0.000\ &quot;kr&quot;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sz val="12"/>
      <color indexed="17"/>
      <name val="Calibri"/>
      <family val="2"/>
    </font>
    <font>
      <sz val="11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Wingdings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0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sz val="10"/>
      <color rgb="FF000000"/>
      <name val="Arial"/>
      <family val="0"/>
    </font>
    <font>
      <sz val="12"/>
      <color theme="1"/>
      <name val="Arial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2" applyNumberFormat="0" applyAlignment="0" applyProtection="0"/>
    <xf numFmtId="0" fontId="37" fillId="25" borderId="3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46" fillId="2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5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 vertical="top" wrapText="1"/>
    </xf>
    <xf numFmtId="0" fontId="47" fillId="0" borderId="10" xfId="0" applyFont="1" applyBorder="1" applyAlignment="1">
      <alignment horizontal="center" vertical="center"/>
    </xf>
    <xf numFmtId="3" fontId="47" fillId="0" borderId="11" xfId="0" applyNumberFormat="1" applyFont="1" applyBorder="1" applyAlignment="1">
      <alignment/>
    </xf>
    <xf numFmtId="3" fontId="47" fillId="0" borderId="12" xfId="0" applyNumberFormat="1" applyFont="1" applyBorder="1" applyAlignment="1">
      <alignment/>
    </xf>
    <xf numFmtId="0" fontId="47" fillId="0" borderId="0" xfId="0" applyFont="1" applyBorder="1" applyAlignment="1">
      <alignment/>
    </xf>
    <xf numFmtId="3" fontId="47" fillId="0" borderId="10" xfId="0" applyNumberFormat="1" applyFont="1" applyBorder="1" applyAlignment="1">
      <alignment/>
    </xf>
    <xf numFmtId="3" fontId="11" fillId="0" borderId="13" xfId="41" applyNumberFormat="1" applyFont="1" applyFill="1" applyBorder="1" applyAlignment="1">
      <alignment/>
    </xf>
    <xf numFmtId="0" fontId="47" fillId="0" borderId="14" xfId="0" applyFont="1" applyBorder="1" applyAlignment="1">
      <alignment horizontal="center" vertical="center"/>
    </xf>
    <xf numFmtId="3" fontId="47" fillId="0" borderId="15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3" fontId="47" fillId="0" borderId="14" xfId="0" applyNumberFormat="1" applyFont="1" applyBorder="1" applyAlignment="1">
      <alignment/>
    </xf>
    <xf numFmtId="0" fontId="47" fillId="0" borderId="16" xfId="0" applyFont="1" applyBorder="1" applyAlignment="1">
      <alignment horizontal="center" vertical="center"/>
    </xf>
    <xf numFmtId="3" fontId="47" fillId="0" borderId="17" xfId="0" applyNumberFormat="1" applyFont="1" applyBorder="1" applyAlignment="1">
      <alignment/>
    </xf>
    <xf numFmtId="3" fontId="47" fillId="0" borderId="18" xfId="0" applyNumberFormat="1" applyFont="1" applyBorder="1" applyAlignment="1">
      <alignment/>
    </xf>
    <xf numFmtId="3" fontId="47" fillId="0" borderId="16" xfId="0" applyNumberFormat="1" applyFont="1" applyBorder="1" applyAlignment="1">
      <alignment/>
    </xf>
    <xf numFmtId="3" fontId="11" fillId="0" borderId="18" xfId="41" applyNumberFormat="1" applyFont="1" applyFill="1" applyBorder="1" applyAlignment="1">
      <alignment/>
    </xf>
    <xf numFmtId="0" fontId="48" fillId="2" borderId="0" xfId="0" applyFont="1" applyFill="1" applyAlignment="1">
      <alignment/>
    </xf>
    <xf numFmtId="0" fontId="47" fillId="2" borderId="0" xfId="0" applyFont="1" applyFill="1" applyAlignment="1">
      <alignment/>
    </xf>
    <xf numFmtId="5" fontId="47" fillId="2" borderId="0" xfId="0" applyNumberFormat="1" applyFont="1" applyFill="1" applyAlignment="1">
      <alignment/>
    </xf>
    <xf numFmtId="7" fontId="47" fillId="2" borderId="0" xfId="0" applyNumberFormat="1" applyFont="1" applyFill="1" applyAlignment="1">
      <alignment/>
    </xf>
    <xf numFmtId="0" fontId="47" fillId="2" borderId="0" xfId="0" applyFont="1" applyFill="1" applyAlignment="1">
      <alignment horizontal="center"/>
    </xf>
    <xf numFmtId="9" fontId="47" fillId="2" borderId="0" xfId="0" applyNumberFormat="1" applyFont="1" applyFill="1" applyAlignment="1">
      <alignment horizontal="center"/>
    </xf>
    <xf numFmtId="0" fontId="48" fillId="0" borderId="0" xfId="0" applyFont="1" applyAlignment="1">
      <alignment/>
    </xf>
    <xf numFmtId="5" fontId="47" fillId="0" borderId="0" xfId="0" applyNumberFormat="1" applyFont="1" applyFill="1" applyAlignment="1">
      <alignment horizontal="right" vertical="top"/>
    </xf>
    <xf numFmtId="0" fontId="47" fillId="0" borderId="0" xfId="0" applyFont="1" applyAlignment="1">
      <alignment horizontal="right"/>
    </xf>
    <xf numFmtId="0" fontId="47" fillId="0" borderId="0" xfId="0" applyFont="1" applyAlignment="1">
      <alignment vertical="top"/>
    </xf>
    <xf numFmtId="165" fontId="47" fillId="33" borderId="0" xfId="0" applyNumberFormat="1" applyFont="1" applyFill="1" applyAlignment="1" applyProtection="1">
      <alignment/>
      <protection locked="0"/>
    </xf>
    <xf numFmtId="167" fontId="47" fillId="33" borderId="0" xfId="0" applyNumberFormat="1" applyFont="1" applyFill="1" applyAlignment="1" applyProtection="1">
      <alignment/>
      <protection locked="0"/>
    </xf>
    <xf numFmtId="0" fontId="47" fillId="33" borderId="0" xfId="0" applyFont="1" applyFill="1" applyAlignment="1" applyProtection="1">
      <alignment/>
      <protection locked="0"/>
    </xf>
    <xf numFmtId="166" fontId="47" fillId="33" borderId="0" xfId="0" applyNumberFormat="1" applyFont="1" applyFill="1" applyAlignment="1" applyProtection="1">
      <alignment/>
      <protection locked="0"/>
    </xf>
    <xf numFmtId="164" fontId="47" fillId="33" borderId="0" xfId="0" applyNumberFormat="1" applyFont="1" applyFill="1" applyAlignment="1" applyProtection="1">
      <alignment/>
      <protection locked="0"/>
    </xf>
    <xf numFmtId="0" fontId="47" fillId="0" borderId="0" xfId="0" applyFont="1" applyAlignment="1">
      <alignment/>
    </xf>
    <xf numFmtId="0" fontId="48" fillId="0" borderId="11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4" xfId="0" applyFont="1" applyBorder="1" applyAlignment="1">
      <alignment horizontal="right"/>
    </xf>
    <xf numFmtId="3" fontId="11" fillId="0" borderId="14" xfId="41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0" fontId="47" fillId="0" borderId="0" xfId="0" applyFont="1" applyBorder="1" applyAlignment="1">
      <alignment horizontal="center" vertical="center"/>
    </xf>
    <xf numFmtId="3" fontId="11" fillId="0" borderId="0" xfId="41" applyNumberFormat="1" applyFont="1" applyFill="1" applyBorder="1" applyAlignment="1">
      <alignment/>
    </xf>
    <xf numFmtId="164" fontId="47" fillId="34" borderId="0" xfId="0" applyNumberFormat="1" applyFont="1" applyFill="1" applyAlignment="1" applyProtection="1">
      <alignment/>
      <protection locked="0"/>
    </xf>
    <xf numFmtId="5" fontId="47" fillId="34" borderId="0" xfId="0" applyNumberFormat="1" applyFont="1" applyFill="1" applyAlignment="1" applyProtection="1">
      <alignment/>
      <protection locked="0"/>
    </xf>
    <xf numFmtId="3" fontId="48" fillId="0" borderId="0" xfId="0" applyNumberFormat="1" applyFont="1" applyBorder="1" applyAlignment="1">
      <alignment horizontal="right"/>
    </xf>
    <xf numFmtId="166" fontId="14" fillId="0" borderId="0" xfId="41" applyNumberFormat="1" applyFont="1" applyFill="1" applyBorder="1" applyAlignment="1">
      <alignment/>
    </xf>
    <xf numFmtId="166" fontId="47" fillId="34" borderId="0" xfId="0" applyNumberFormat="1" applyFont="1" applyFill="1" applyBorder="1" applyAlignment="1" applyProtection="1">
      <alignment/>
      <protection locked="0"/>
    </xf>
    <xf numFmtId="166" fontId="47" fillId="34" borderId="20" xfId="0" applyNumberFormat="1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3" fontId="47" fillId="0" borderId="23" xfId="0" applyNumberFormat="1" applyFont="1" applyBorder="1" applyAlignment="1">
      <alignment/>
    </xf>
    <xf numFmtId="0" fontId="47" fillId="0" borderId="24" xfId="0" applyFont="1" applyBorder="1" applyAlignment="1">
      <alignment/>
    </xf>
    <xf numFmtId="3" fontId="47" fillId="0" borderId="24" xfId="0" applyNumberFormat="1" applyFont="1" applyBorder="1" applyAlignment="1">
      <alignment/>
    </xf>
    <xf numFmtId="3" fontId="47" fillId="0" borderId="25" xfId="0" applyNumberFormat="1" applyFont="1" applyBorder="1" applyAlignment="1">
      <alignment/>
    </xf>
    <xf numFmtId="3" fontId="47" fillId="0" borderId="26" xfId="0" applyNumberFormat="1" applyFont="1" applyBorder="1" applyAlignment="1">
      <alignment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26" xfId="0" applyFont="1" applyBorder="1" applyAlignment="1">
      <alignment/>
    </xf>
    <xf numFmtId="0" fontId="47" fillId="0" borderId="25" xfId="0" applyFont="1" applyBorder="1" applyAlignment="1">
      <alignment/>
    </xf>
    <xf numFmtId="0" fontId="49" fillId="0" borderId="0" xfId="0" applyFont="1" applyAlignment="1">
      <alignment/>
    </xf>
    <xf numFmtId="5" fontId="49" fillId="0" borderId="0" xfId="0" applyNumberFormat="1" applyFont="1" applyAlignment="1">
      <alignment/>
    </xf>
    <xf numFmtId="0" fontId="47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47" fillId="2" borderId="0" xfId="0" applyFont="1" applyFill="1" applyAlignment="1">
      <alignment wrapText="1"/>
    </xf>
    <xf numFmtId="0" fontId="47" fillId="0" borderId="15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6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168" fontId="47" fillId="0" borderId="0" xfId="0" applyNumberFormat="1" applyFont="1" applyFill="1" applyAlignment="1" applyProtection="1">
      <alignment/>
      <protection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Input" xfId="42"/>
    <cellStyle name="Kontrollé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Currency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="125" zoomScaleNormal="125" workbookViewId="0" topLeftCell="A1">
      <selection activeCell="C29" sqref="C29"/>
    </sheetView>
  </sheetViews>
  <sheetFormatPr defaultColWidth="11.00390625" defaultRowHeight="15.75"/>
  <cols>
    <col min="1" max="1" width="9.00390625" style="3" customWidth="1"/>
    <col min="2" max="2" width="7.00390625" style="3" customWidth="1"/>
    <col min="3" max="3" width="10.125" style="3" customWidth="1"/>
    <col min="4" max="4" width="7.875" style="3" customWidth="1"/>
    <col min="5" max="5" width="25.875" style="3" customWidth="1"/>
    <col min="6" max="6" width="13.00390625" style="3" customWidth="1"/>
    <col min="7" max="16384" width="10.875" style="3" customWidth="1"/>
  </cols>
  <sheetData>
    <row r="1" spans="1:5" ht="30" customHeight="1">
      <c r="A1" s="78" t="s">
        <v>49</v>
      </c>
      <c r="B1" s="79"/>
      <c r="C1" s="79"/>
      <c r="D1" s="79"/>
      <c r="E1" s="79"/>
    </row>
    <row r="2" ht="12.75"/>
    <row r="3" spans="1:9" ht="15.75">
      <c r="A3" s="1" t="s">
        <v>22</v>
      </c>
      <c r="B3" s="24"/>
      <c r="C3" s="24"/>
      <c r="D3" s="24"/>
      <c r="E3" s="24"/>
      <c r="F3" s="5"/>
      <c r="G3" s="5"/>
      <c r="H3" s="5"/>
      <c r="I3" s="5"/>
    </row>
    <row r="4" spans="1:9" ht="12.75">
      <c r="A4" s="24"/>
      <c r="B4" s="24"/>
      <c r="C4" s="24"/>
      <c r="D4" s="24"/>
      <c r="E4" s="24"/>
      <c r="F4" s="5"/>
      <c r="G4" s="5"/>
      <c r="H4" s="5"/>
      <c r="I4" s="5"/>
    </row>
    <row r="5" spans="1:9" ht="12.75">
      <c r="A5" s="23" t="s">
        <v>27</v>
      </c>
      <c r="B5" s="24"/>
      <c r="C5" s="24"/>
      <c r="D5" s="24"/>
      <c r="E5" s="24"/>
      <c r="F5" s="5"/>
      <c r="G5" s="5"/>
      <c r="H5" s="5"/>
      <c r="I5" s="5"/>
    </row>
    <row r="6" spans="1:9" ht="12.75">
      <c r="A6" s="24" t="s">
        <v>17</v>
      </c>
      <c r="B6" s="24"/>
      <c r="C6" s="25">
        <v>38126</v>
      </c>
      <c r="D6" s="24"/>
      <c r="E6" s="24"/>
      <c r="F6" s="5"/>
      <c r="G6" s="5"/>
      <c r="H6" s="5"/>
      <c r="I6" s="5"/>
    </row>
    <row r="7" spans="1:9" ht="12.75">
      <c r="A7" s="24" t="s">
        <v>23</v>
      </c>
      <c r="B7" s="24"/>
      <c r="C7" s="26">
        <v>65.84</v>
      </c>
      <c r="D7" s="24" t="s">
        <v>24</v>
      </c>
      <c r="E7" s="24"/>
      <c r="F7" s="5"/>
      <c r="G7" s="5"/>
      <c r="H7" s="5"/>
      <c r="I7" s="5"/>
    </row>
    <row r="8" spans="1:9" ht="12.75">
      <c r="A8" s="24" t="s">
        <v>26</v>
      </c>
      <c r="B8" s="24"/>
      <c r="C8" s="24"/>
      <c r="D8" s="24"/>
      <c r="E8" s="24"/>
      <c r="F8" s="5"/>
      <c r="G8" s="5"/>
      <c r="H8" s="5"/>
      <c r="I8" s="5"/>
    </row>
    <row r="9" spans="1:9" ht="12.75">
      <c r="A9" s="24"/>
      <c r="B9" s="27">
        <v>2012</v>
      </c>
      <c r="C9" s="28">
        <v>0.6</v>
      </c>
      <c r="D9" s="24"/>
      <c r="E9" s="24"/>
      <c r="F9" s="5"/>
      <c r="G9" s="5"/>
      <c r="H9" s="5"/>
      <c r="I9" s="5"/>
    </row>
    <row r="10" spans="1:9" ht="12.75">
      <c r="A10" s="24"/>
      <c r="B10" s="27">
        <v>2013</v>
      </c>
      <c r="C10" s="28">
        <v>0.4</v>
      </c>
      <c r="D10" s="24"/>
      <c r="E10" s="24"/>
      <c r="F10" s="5"/>
      <c r="G10" s="5"/>
      <c r="H10" s="5"/>
      <c r="I10" s="5"/>
    </row>
    <row r="11" spans="1:9" ht="12.75">
      <c r="A11" s="24"/>
      <c r="B11" s="27">
        <v>2014</v>
      </c>
      <c r="C11" s="28">
        <v>0.2</v>
      </c>
      <c r="D11" s="24"/>
      <c r="E11" s="24"/>
      <c r="F11" s="5"/>
      <c r="G11" s="5"/>
      <c r="H11" s="5"/>
      <c r="I11" s="5"/>
    </row>
    <row r="12" spans="1:9" ht="12.75">
      <c r="A12" s="24"/>
      <c r="B12" s="24"/>
      <c r="C12" s="24"/>
      <c r="D12" s="24"/>
      <c r="E12" s="24"/>
      <c r="F12" s="5"/>
      <c r="G12" s="5"/>
      <c r="H12" s="5"/>
      <c r="I12" s="5"/>
    </row>
    <row r="13" spans="1:9" ht="12.75">
      <c r="A13" s="23" t="s">
        <v>28</v>
      </c>
      <c r="B13" s="24"/>
      <c r="C13" s="24"/>
      <c r="D13" s="24"/>
      <c r="E13" s="24"/>
      <c r="F13" s="5"/>
      <c r="G13" s="5"/>
      <c r="H13" s="5"/>
      <c r="I13" s="5"/>
    </row>
    <row r="14" spans="1:9" ht="12.75">
      <c r="A14" s="24" t="s">
        <v>29</v>
      </c>
      <c r="B14" s="24"/>
      <c r="C14" s="25">
        <v>1170</v>
      </c>
      <c r="D14" s="24" t="s">
        <v>30</v>
      </c>
      <c r="E14" s="24"/>
      <c r="F14" s="5"/>
      <c r="G14" s="5"/>
      <c r="H14" s="5"/>
      <c r="I14" s="5"/>
    </row>
    <row r="15" spans="1:9" ht="12.75">
      <c r="A15" s="24" t="s">
        <v>31</v>
      </c>
      <c r="B15" s="24"/>
      <c r="C15" s="26">
        <v>17.75</v>
      </c>
      <c r="D15" s="24" t="s">
        <v>24</v>
      </c>
      <c r="E15" s="24"/>
      <c r="F15" s="5"/>
      <c r="G15" s="5"/>
      <c r="H15" s="5"/>
      <c r="I15" s="5"/>
    </row>
    <row r="16" spans="1:9" ht="12.75">
      <c r="A16" s="24" t="s">
        <v>33</v>
      </c>
      <c r="B16" s="24"/>
      <c r="C16" s="26">
        <v>551.33</v>
      </c>
      <c r="D16" s="24" t="s">
        <v>32</v>
      </c>
      <c r="E16" s="24"/>
      <c r="F16" s="5"/>
      <c r="G16" s="5"/>
      <c r="H16" s="5"/>
      <c r="I16" s="5"/>
    </row>
    <row r="17" spans="1:9" ht="12.75">
      <c r="A17" s="24"/>
      <c r="B17" s="24"/>
      <c r="C17" s="24"/>
      <c r="D17" s="24"/>
      <c r="E17" s="24"/>
      <c r="F17" s="5"/>
      <c r="G17" s="5"/>
      <c r="H17" s="5"/>
      <c r="I17" s="5"/>
    </row>
    <row r="18" spans="1:9" ht="30" customHeight="1">
      <c r="A18" s="80" t="s">
        <v>25</v>
      </c>
      <c r="B18" s="79"/>
      <c r="C18" s="79"/>
      <c r="D18" s="79"/>
      <c r="E18" s="79"/>
      <c r="F18" s="5"/>
      <c r="G18" s="5"/>
      <c r="H18" s="5"/>
      <c r="I18" s="5"/>
    </row>
    <row r="19" spans="1:9" ht="12.75">
      <c r="A19" s="24"/>
      <c r="B19" s="24"/>
      <c r="C19" s="24"/>
      <c r="D19" s="24"/>
      <c r="E19" s="24"/>
      <c r="F19" s="5"/>
      <c r="G19" s="5"/>
      <c r="H19" s="5"/>
      <c r="I19" s="5"/>
    </row>
    <row r="20" spans="3:9" ht="12.75">
      <c r="C20" s="5"/>
      <c r="F20" s="5"/>
      <c r="G20" s="5"/>
      <c r="H20" s="5"/>
      <c r="I20" s="5"/>
    </row>
    <row r="21" ht="12.75">
      <c r="C21" s="5"/>
    </row>
    <row r="22" spans="1:3" ht="15.75">
      <c r="A22" s="2" t="s">
        <v>34</v>
      </c>
      <c r="C22" s="5"/>
    </row>
    <row r="23" ht="12.75">
      <c r="A23" s="29" t="s">
        <v>3</v>
      </c>
    </row>
    <row r="24" spans="1:4" ht="27.75" customHeight="1">
      <c r="A24" s="76" t="s">
        <v>36</v>
      </c>
      <c r="B24" s="77"/>
      <c r="C24" s="30">
        <v>625</v>
      </c>
      <c r="D24" s="32" t="s">
        <v>30</v>
      </c>
    </row>
    <row r="25" ht="12.75"/>
    <row r="26" ht="12.75">
      <c r="A26" s="29" t="s">
        <v>37</v>
      </c>
    </row>
    <row r="27" spans="1:4" ht="12.75">
      <c r="A27" s="3" t="s">
        <v>7</v>
      </c>
      <c r="C27" s="93">
        <v>8.815</v>
      </c>
      <c r="D27" s="3" t="s">
        <v>45</v>
      </c>
    </row>
    <row r="28" spans="1:3" ht="12.75">
      <c r="A28" s="74" t="s">
        <v>52</v>
      </c>
      <c r="B28" s="74"/>
      <c r="C28" s="75">
        <v>120</v>
      </c>
    </row>
    <row r="29" spans="1:4" ht="12">
      <c r="A29" s="3" t="s">
        <v>44</v>
      </c>
      <c r="C29" s="56">
        <v>1875</v>
      </c>
      <c r="D29" s="3" t="s">
        <v>30</v>
      </c>
    </row>
  </sheetData>
  <sheetProtection password="C6D0" sheet="1" objects="1" scenarios="1"/>
  <mergeCells count="3">
    <mergeCell ref="A24:B24"/>
    <mergeCell ref="A1:E1"/>
    <mergeCell ref="A18:E18"/>
  </mergeCells>
  <printOptions/>
  <pageMargins left="0.75" right="2.416666666666666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D3" sqref="D3"/>
    </sheetView>
  </sheetViews>
  <sheetFormatPr defaultColWidth="11.00390625" defaultRowHeight="15.75"/>
  <cols>
    <col min="1" max="1" width="5.00390625" style="3" customWidth="1"/>
    <col min="2" max="2" width="10.00390625" style="3" customWidth="1"/>
    <col min="3" max="3" width="8.625" style="3" customWidth="1"/>
    <col min="4" max="4" width="9.50390625" style="3" customWidth="1"/>
    <col min="5" max="5" width="8.625" style="3" customWidth="1"/>
    <col min="6" max="6" width="9.50390625" style="3" customWidth="1"/>
    <col min="7" max="7" width="8.625" style="3" customWidth="1"/>
    <col min="8" max="9" width="9.50390625" style="3" customWidth="1"/>
    <col min="10" max="10" width="10.375" style="3" customWidth="1"/>
    <col min="11" max="16384" width="10.875" style="3" customWidth="1"/>
  </cols>
  <sheetData>
    <row r="1" spans="4:10" ht="12.75">
      <c r="D1" s="31" t="s">
        <v>41</v>
      </c>
      <c r="H1" s="31" t="s">
        <v>42</v>
      </c>
      <c r="I1" s="78" t="s">
        <v>43</v>
      </c>
      <c r="J1" s="79"/>
    </row>
    <row r="2" spans="8:10" ht="12.75">
      <c r="H2" s="4"/>
      <c r="I2" s="79"/>
      <c r="J2" s="79"/>
    </row>
    <row r="3" spans="1:8" ht="12.75">
      <c r="A3" s="3" t="s">
        <v>6</v>
      </c>
      <c r="D3" s="33">
        <v>1828</v>
      </c>
      <c r="F3" s="3" t="s">
        <v>38</v>
      </c>
      <c r="H3" s="55">
        <v>0.85</v>
      </c>
    </row>
    <row r="4" spans="6:8" ht="12.75">
      <c r="F4" s="3" t="s">
        <v>39</v>
      </c>
      <c r="H4" s="55">
        <v>0.95</v>
      </c>
    </row>
    <row r="5" spans="1:4" ht="12.75">
      <c r="A5" s="3" t="s">
        <v>15</v>
      </c>
      <c r="D5" s="34">
        <v>130</v>
      </c>
    </row>
    <row r="6" spans="1:4" ht="12.75">
      <c r="A6" s="78" t="s">
        <v>16</v>
      </c>
      <c r="B6" s="78"/>
      <c r="D6" s="34">
        <v>0</v>
      </c>
    </row>
    <row r="7" spans="6:8" ht="12.75">
      <c r="F7" s="3" t="s">
        <v>12</v>
      </c>
      <c r="H7" s="56">
        <v>40000</v>
      </c>
    </row>
    <row r="8" spans="1:8" ht="12.75">
      <c r="A8" s="3" t="s">
        <v>18</v>
      </c>
      <c r="D8" s="35">
        <v>2012</v>
      </c>
      <c r="F8" s="3" t="s">
        <v>40</v>
      </c>
      <c r="H8" s="56">
        <v>20000</v>
      </c>
    </row>
    <row r="9" spans="3:8" ht="12.75">
      <c r="C9" s="5"/>
      <c r="F9" s="3" t="s">
        <v>13</v>
      </c>
      <c r="H9" s="56">
        <v>6900</v>
      </c>
    </row>
    <row r="10" spans="1:4" ht="12.75">
      <c r="A10" s="38" t="s">
        <v>47</v>
      </c>
      <c r="B10" s="38"/>
      <c r="C10" s="3" t="s">
        <v>35</v>
      </c>
      <c r="D10" s="36">
        <v>10</v>
      </c>
    </row>
    <row r="11" spans="1:8" ht="12.75">
      <c r="A11" s="38"/>
      <c r="B11" s="38"/>
      <c r="C11" s="3" t="s">
        <v>14</v>
      </c>
      <c r="D11" s="37">
        <v>0.05</v>
      </c>
      <c r="F11" s="3" t="s">
        <v>8</v>
      </c>
      <c r="H11" s="55">
        <v>0</v>
      </c>
    </row>
    <row r="12" spans="3:8" ht="12.75">
      <c r="C12" s="31" t="s">
        <v>48</v>
      </c>
      <c r="F12" s="3" t="s">
        <v>11</v>
      </c>
      <c r="H12" s="55">
        <v>0</v>
      </c>
    </row>
    <row r="13" ht="12.75"/>
    <row r="14" ht="13.5" thickBot="1"/>
    <row r="15" spans="1:10" ht="12.75">
      <c r="A15" s="91" t="s">
        <v>0</v>
      </c>
      <c r="B15" s="87" t="s">
        <v>1</v>
      </c>
      <c r="C15" s="88"/>
      <c r="D15" s="89"/>
      <c r="E15" s="87" t="s">
        <v>4</v>
      </c>
      <c r="F15" s="89"/>
      <c r="G15" s="87" t="s">
        <v>5</v>
      </c>
      <c r="H15" s="90"/>
      <c r="I15" s="84" t="s">
        <v>20</v>
      </c>
      <c r="J15" s="84" t="s">
        <v>21</v>
      </c>
    </row>
    <row r="16" spans="1:10" s="6" customFormat="1" ht="26.25" thickBot="1">
      <c r="A16" s="92"/>
      <c r="B16" s="68" t="s">
        <v>19</v>
      </c>
      <c r="C16" s="69" t="s">
        <v>2</v>
      </c>
      <c r="D16" s="70" t="s">
        <v>3</v>
      </c>
      <c r="E16" s="71" t="s">
        <v>2</v>
      </c>
      <c r="F16" s="70" t="s">
        <v>3</v>
      </c>
      <c r="G16" s="71" t="s">
        <v>2</v>
      </c>
      <c r="H16" s="70" t="s">
        <v>3</v>
      </c>
      <c r="I16" s="85"/>
      <c r="J16" s="86"/>
    </row>
    <row r="17" spans="1:10" ht="12.75">
      <c r="A17" s="7">
        <v>2011</v>
      </c>
      <c r="B17" s="8">
        <f aca="true" t="shared" si="0" ref="B17:B47">IF(Nyt_fyr_år&gt;År,Gasforbrug*Gaspris*POWER(1+Gasprisstigning,År-2011)+Gasafregningsbidrag+Gasservice,0)</f>
        <v>18108.82</v>
      </c>
      <c r="C17" s="61"/>
      <c r="D17" s="9"/>
      <c r="E17" s="64"/>
      <c r="F17" s="10"/>
      <c r="G17" s="67"/>
      <c r="H17" s="9"/>
      <c r="I17" s="11"/>
      <c r="J17" s="12"/>
    </row>
    <row r="18" spans="1:10" ht="12.75">
      <c r="A18" s="13">
        <v>2012</v>
      </c>
      <c r="B18" s="14">
        <f t="shared" si="0"/>
        <v>0</v>
      </c>
      <c r="C18" s="62">
        <f aca="true" t="shared" si="1" ref="C18:C47">IF(Nyt_fyr_år&lt;=År,Gasforbrug*Gl_virkningsgrad/Nyt_gasfyr_virkningsgrad*Gaspris*POWER(1+Gasprisstigning,År-2011)+Gasafregningsbidrag+Gasservice,0)</f>
        <v>16412.62842105263</v>
      </c>
      <c r="D18" s="16">
        <f aca="true" t="shared" si="2" ref="D18:D47">IF(Nyt_fyr_år&lt;=År,(Gasforbrug*Gl_virkningsgrad*0.011*Fjn_pris+Abonnement+(Areal+0.5*Kælder)*Effektafgift+Fjn_vedligehold)*POWER(1+Fjnprisstigning,År-2011),0)</f>
        <v>13525.722094</v>
      </c>
      <c r="E18" s="65">
        <f aca="true" t="shared" si="3" ref="E18:E47">-IF(AND((År-Nyt_fyr_år)&lt;Løbetid,(År-Nyt_fyr_år)&gt;=0),PMT(Rente/12,Løbetid*12,Gasfyr,)*12,)</f>
        <v>5091.1447314756115</v>
      </c>
      <c r="F18" s="15">
        <f aca="true" t="shared" si="4" ref="F18:F47">-IF(AND((År-Nyt_fyr_år)&lt;Løbetid,(År-Nyt_fyr_år)&gt;=0),PMT(Rente/12,Løbetid*12,(Fjn_unit+(Stikledning+Investeringsbidrag*(Areal+Kælder*0.5))*(1-VLOOKUP(Nyt_fyr_år,Rabat,2))+Frakobling_af_gas))*12,)</f>
        <v>5800.605932096201</v>
      </c>
      <c r="G18" s="65">
        <f aca="true" t="shared" si="5" ref="G18:G47">C18+E18</f>
        <v>21503.77315252824</v>
      </c>
      <c r="H18" s="16">
        <f aca="true" t="shared" si="6" ref="H18:H47">D18+F18</f>
        <v>19326.328026096202</v>
      </c>
      <c r="I18" s="17">
        <f aca="true" t="shared" si="7" ref="I18:I47">H18-G18</f>
        <v>-2177.445126432038</v>
      </c>
      <c r="J18" s="12">
        <f>J17+I18</f>
        <v>-2177.445126432038</v>
      </c>
    </row>
    <row r="19" spans="1:10" ht="12.75">
      <c r="A19" s="13">
        <v>2013</v>
      </c>
      <c r="B19" s="14">
        <f t="shared" si="0"/>
        <v>0</v>
      </c>
      <c r="C19" s="62">
        <f t="shared" si="1"/>
        <v>16412.62842105263</v>
      </c>
      <c r="D19" s="16">
        <f t="shared" si="2"/>
        <v>13525.722094</v>
      </c>
      <c r="E19" s="65">
        <f t="shared" si="3"/>
        <v>5091.1447314756115</v>
      </c>
      <c r="F19" s="15">
        <f t="shared" si="4"/>
        <v>5800.605932096201</v>
      </c>
      <c r="G19" s="65">
        <f t="shared" si="5"/>
        <v>21503.77315252824</v>
      </c>
      <c r="H19" s="16">
        <f t="shared" si="6"/>
        <v>19326.328026096202</v>
      </c>
      <c r="I19" s="17">
        <f t="shared" si="7"/>
        <v>-2177.445126432038</v>
      </c>
      <c r="J19" s="12">
        <f aca="true" t="shared" si="8" ref="J19:J47">J18+I19</f>
        <v>-4354.890252864076</v>
      </c>
    </row>
    <row r="20" spans="1:10" ht="12.75">
      <c r="A20" s="13">
        <v>2014</v>
      </c>
      <c r="B20" s="14">
        <f t="shared" si="0"/>
        <v>0</v>
      </c>
      <c r="C20" s="62">
        <f t="shared" si="1"/>
        <v>16412.62842105263</v>
      </c>
      <c r="D20" s="16">
        <f t="shared" si="2"/>
        <v>13525.722094</v>
      </c>
      <c r="E20" s="65">
        <f t="shared" si="3"/>
        <v>5091.1447314756115</v>
      </c>
      <c r="F20" s="15">
        <f t="shared" si="4"/>
        <v>5800.605932096201</v>
      </c>
      <c r="G20" s="65">
        <f t="shared" si="5"/>
        <v>21503.77315252824</v>
      </c>
      <c r="H20" s="16">
        <f t="shared" si="6"/>
        <v>19326.328026096202</v>
      </c>
      <c r="I20" s="17">
        <f t="shared" si="7"/>
        <v>-2177.445126432038</v>
      </c>
      <c r="J20" s="12">
        <f t="shared" si="8"/>
        <v>-6532.335379296113</v>
      </c>
    </row>
    <row r="21" spans="1:10" ht="12.75">
      <c r="A21" s="13">
        <v>2015</v>
      </c>
      <c r="B21" s="14">
        <f t="shared" si="0"/>
        <v>0</v>
      </c>
      <c r="C21" s="62">
        <f t="shared" si="1"/>
        <v>16412.62842105263</v>
      </c>
      <c r="D21" s="16">
        <f t="shared" si="2"/>
        <v>13525.722094</v>
      </c>
      <c r="E21" s="65">
        <f t="shared" si="3"/>
        <v>5091.1447314756115</v>
      </c>
      <c r="F21" s="15">
        <f t="shared" si="4"/>
        <v>5800.605932096201</v>
      </c>
      <c r="G21" s="65">
        <f t="shared" si="5"/>
        <v>21503.77315252824</v>
      </c>
      <c r="H21" s="16">
        <f t="shared" si="6"/>
        <v>19326.328026096202</v>
      </c>
      <c r="I21" s="17">
        <f t="shared" si="7"/>
        <v>-2177.445126432038</v>
      </c>
      <c r="J21" s="12">
        <f t="shared" si="8"/>
        <v>-8709.780505728151</v>
      </c>
    </row>
    <row r="22" spans="1:10" ht="12.75">
      <c r="A22" s="13">
        <v>2016</v>
      </c>
      <c r="B22" s="14">
        <f t="shared" si="0"/>
        <v>0</v>
      </c>
      <c r="C22" s="62">
        <f t="shared" si="1"/>
        <v>16412.62842105263</v>
      </c>
      <c r="D22" s="16">
        <f t="shared" si="2"/>
        <v>13525.722094</v>
      </c>
      <c r="E22" s="65">
        <f t="shared" si="3"/>
        <v>5091.1447314756115</v>
      </c>
      <c r="F22" s="15">
        <f t="shared" si="4"/>
        <v>5800.605932096201</v>
      </c>
      <c r="G22" s="65">
        <f t="shared" si="5"/>
        <v>21503.77315252824</v>
      </c>
      <c r="H22" s="16">
        <f t="shared" si="6"/>
        <v>19326.328026096202</v>
      </c>
      <c r="I22" s="17">
        <f t="shared" si="7"/>
        <v>-2177.445126432038</v>
      </c>
      <c r="J22" s="12">
        <f t="shared" si="8"/>
        <v>-10887.225632160189</v>
      </c>
    </row>
    <row r="23" spans="1:10" ht="12.75">
      <c r="A23" s="13">
        <v>2017</v>
      </c>
      <c r="B23" s="14">
        <f t="shared" si="0"/>
        <v>0</v>
      </c>
      <c r="C23" s="62">
        <f t="shared" si="1"/>
        <v>16412.62842105263</v>
      </c>
      <c r="D23" s="16">
        <f t="shared" si="2"/>
        <v>13525.722094</v>
      </c>
      <c r="E23" s="65">
        <f t="shared" si="3"/>
        <v>5091.1447314756115</v>
      </c>
      <c r="F23" s="15">
        <f t="shared" si="4"/>
        <v>5800.605932096201</v>
      </c>
      <c r="G23" s="65">
        <f t="shared" si="5"/>
        <v>21503.77315252824</v>
      </c>
      <c r="H23" s="16">
        <f t="shared" si="6"/>
        <v>19326.328026096202</v>
      </c>
      <c r="I23" s="17">
        <f t="shared" si="7"/>
        <v>-2177.445126432038</v>
      </c>
      <c r="J23" s="12">
        <f t="shared" si="8"/>
        <v>-13064.670758592227</v>
      </c>
    </row>
    <row r="24" spans="1:10" ht="12.75">
      <c r="A24" s="13">
        <v>2018</v>
      </c>
      <c r="B24" s="14">
        <f t="shared" si="0"/>
        <v>0</v>
      </c>
      <c r="C24" s="62">
        <f t="shared" si="1"/>
        <v>16412.62842105263</v>
      </c>
      <c r="D24" s="16">
        <f t="shared" si="2"/>
        <v>13525.722094</v>
      </c>
      <c r="E24" s="65">
        <f t="shared" si="3"/>
        <v>5091.1447314756115</v>
      </c>
      <c r="F24" s="15">
        <f t="shared" si="4"/>
        <v>5800.605932096201</v>
      </c>
      <c r="G24" s="65">
        <f t="shared" si="5"/>
        <v>21503.77315252824</v>
      </c>
      <c r="H24" s="16">
        <f t="shared" si="6"/>
        <v>19326.328026096202</v>
      </c>
      <c r="I24" s="17">
        <f t="shared" si="7"/>
        <v>-2177.445126432038</v>
      </c>
      <c r="J24" s="12">
        <f t="shared" si="8"/>
        <v>-15242.115885024265</v>
      </c>
    </row>
    <row r="25" spans="1:10" ht="12.75">
      <c r="A25" s="13">
        <v>2019</v>
      </c>
      <c r="B25" s="14">
        <f t="shared" si="0"/>
        <v>0</v>
      </c>
      <c r="C25" s="62">
        <f t="shared" si="1"/>
        <v>16412.62842105263</v>
      </c>
      <c r="D25" s="16">
        <f t="shared" si="2"/>
        <v>13525.722094</v>
      </c>
      <c r="E25" s="65">
        <f t="shared" si="3"/>
        <v>5091.1447314756115</v>
      </c>
      <c r="F25" s="15">
        <f t="shared" si="4"/>
        <v>5800.605932096201</v>
      </c>
      <c r="G25" s="65">
        <f t="shared" si="5"/>
        <v>21503.77315252824</v>
      </c>
      <c r="H25" s="16">
        <f t="shared" si="6"/>
        <v>19326.328026096202</v>
      </c>
      <c r="I25" s="17">
        <f t="shared" si="7"/>
        <v>-2177.445126432038</v>
      </c>
      <c r="J25" s="12">
        <f t="shared" si="8"/>
        <v>-17419.561011456302</v>
      </c>
    </row>
    <row r="26" spans="1:10" ht="12.75">
      <c r="A26" s="13">
        <v>2020</v>
      </c>
      <c r="B26" s="14">
        <f t="shared" si="0"/>
        <v>0</v>
      </c>
      <c r="C26" s="62">
        <f t="shared" si="1"/>
        <v>16412.62842105263</v>
      </c>
      <c r="D26" s="16">
        <f t="shared" si="2"/>
        <v>13525.722094</v>
      </c>
      <c r="E26" s="65">
        <f t="shared" si="3"/>
        <v>5091.1447314756115</v>
      </c>
      <c r="F26" s="15">
        <f t="shared" si="4"/>
        <v>5800.605932096201</v>
      </c>
      <c r="G26" s="65">
        <f t="shared" si="5"/>
        <v>21503.77315252824</v>
      </c>
      <c r="H26" s="16">
        <f t="shared" si="6"/>
        <v>19326.328026096202</v>
      </c>
      <c r="I26" s="17">
        <f t="shared" si="7"/>
        <v>-2177.445126432038</v>
      </c>
      <c r="J26" s="12">
        <f t="shared" si="8"/>
        <v>-19597.00613788834</v>
      </c>
    </row>
    <row r="27" spans="1:10" ht="12.75">
      <c r="A27" s="13">
        <v>2021</v>
      </c>
      <c r="B27" s="14">
        <f t="shared" si="0"/>
        <v>0</v>
      </c>
      <c r="C27" s="62">
        <f t="shared" si="1"/>
        <v>16412.62842105263</v>
      </c>
      <c r="D27" s="16">
        <f t="shared" si="2"/>
        <v>13525.722094</v>
      </c>
      <c r="E27" s="65">
        <f t="shared" si="3"/>
        <v>5091.1447314756115</v>
      </c>
      <c r="F27" s="15">
        <f t="shared" si="4"/>
        <v>5800.605932096201</v>
      </c>
      <c r="G27" s="65">
        <f t="shared" si="5"/>
        <v>21503.77315252824</v>
      </c>
      <c r="H27" s="16">
        <f t="shared" si="6"/>
        <v>19326.328026096202</v>
      </c>
      <c r="I27" s="17">
        <f t="shared" si="7"/>
        <v>-2177.445126432038</v>
      </c>
      <c r="J27" s="12">
        <f t="shared" si="8"/>
        <v>-21774.451264320378</v>
      </c>
    </row>
    <row r="28" spans="1:10" ht="12.75">
      <c r="A28" s="13">
        <v>2022</v>
      </c>
      <c r="B28" s="14">
        <f t="shared" si="0"/>
        <v>0</v>
      </c>
      <c r="C28" s="62">
        <f t="shared" si="1"/>
        <v>16412.62842105263</v>
      </c>
      <c r="D28" s="16">
        <f t="shared" si="2"/>
        <v>13525.722094</v>
      </c>
      <c r="E28" s="65">
        <f t="shared" si="3"/>
        <v>0</v>
      </c>
      <c r="F28" s="15">
        <f t="shared" si="4"/>
        <v>0</v>
      </c>
      <c r="G28" s="65">
        <f t="shared" si="5"/>
        <v>16412.62842105263</v>
      </c>
      <c r="H28" s="16">
        <f t="shared" si="6"/>
        <v>13525.722094</v>
      </c>
      <c r="I28" s="17">
        <f t="shared" si="7"/>
        <v>-2886.9063270526276</v>
      </c>
      <c r="J28" s="12">
        <f t="shared" si="8"/>
        <v>-24661.357591373006</v>
      </c>
    </row>
    <row r="29" spans="1:10" ht="12.75">
      <c r="A29" s="13">
        <v>2023</v>
      </c>
      <c r="B29" s="14">
        <f t="shared" si="0"/>
        <v>0</v>
      </c>
      <c r="C29" s="62">
        <f t="shared" si="1"/>
        <v>16412.62842105263</v>
      </c>
      <c r="D29" s="16">
        <f t="shared" si="2"/>
        <v>13525.722094</v>
      </c>
      <c r="E29" s="65">
        <f t="shared" si="3"/>
        <v>0</v>
      </c>
      <c r="F29" s="15">
        <f t="shared" si="4"/>
        <v>0</v>
      </c>
      <c r="G29" s="65">
        <f t="shared" si="5"/>
        <v>16412.62842105263</v>
      </c>
      <c r="H29" s="16">
        <f t="shared" si="6"/>
        <v>13525.722094</v>
      </c>
      <c r="I29" s="17">
        <f t="shared" si="7"/>
        <v>-2886.9063270526276</v>
      </c>
      <c r="J29" s="12">
        <f t="shared" si="8"/>
        <v>-27548.263918425633</v>
      </c>
    </row>
    <row r="30" spans="1:10" ht="12.75">
      <c r="A30" s="13">
        <v>2024</v>
      </c>
      <c r="B30" s="14">
        <f t="shared" si="0"/>
        <v>0</v>
      </c>
      <c r="C30" s="62">
        <f t="shared" si="1"/>
        <v>16412.62842105263</v>
      </c>
      <c r="D30" s="16">
        <f t="shared" si="2"/>
        <v>13525.722094</v>
      </c>
      <c r="E30" s="65">
        <f t="shared" si="3"/>
        <v>0</v>
      </c>
      <c r="F30" s="15">
        <f t="shared" si="4"/>
        <v>0</v>
      </c>
      <c r="G30" s="65">
        <f t="shared" si="5"/>
        <v>16412.62842105263</v>
      </c>
      <c r="H30" s="16">
        <f t="shared" si="6"/>
        <v>13525.722094</v>
      </c>
      <c r="I30" s="17">
        <f t="shared" si="7"/>
        <v>-2886.9063270526276</v>
      </c>
      <c r="J30" s="12">
        <f t="shared" si="8"/>
        <v>-30435.17024547826</v>
      </c>
    </row>
    <row r="31" spans="1:10" ht="12.75">
      <c r="A31" s="13">
        <v>2025</v>
      </c>
      <c r="B31" s="14">
        <f t="shared" si="0"/>
        <v>0</v>
      </c>
      <c r="C31" s="62">
        <f t="shared" si="1"/>
        <v>16412.62842105263</v>
      </c>
      <c r="D31" s="16">
        <f t="shared" si="2"/>
        <v>13525.722094</v>
      </c>
      <c r="E31" s="65">
        <f t="shared" si="3"/>
        <v>0</v>
      </c>
      <c r="F31" s="15">
        <f t="shared" si="4"/>
        <v>0</v>
      </c>
      <c r="G31" s="65">
        <f t="shared" si="5"/>
        <v>16412.62842105263</v>
      </c>
      <c r="H31" s="16">
        <f t="shared" si="6"/>
        <v>13525.722094</v>
      </c>
      <c r="I31" s="17">
        <f t="shared" si="7"/>
        <v>-2886.9063270526276</v>
      </c>
      <c r="J31" s="12">
        <f t="shared" si="8"/>
        <v>-33322.07657253089</v>
      </c>
    </row>
    <row r="32" spans="1:10" ht="12.75">
      <c r="A32" s="13">
        <v>2026</v>
      </c>
      <c r="B32" s="14">
        <f t="shared" si="0"/>
        <v>0</v>
      </c>
      <c r="C32" s="62">
        <f t="shared" si="1"/>
        <v>16412.62842105263</v>
      </c>
      <c r="D32" s="16">
        <f t="shared" si="2"/>
        <v>13525.722094</v>
      </c>
      <c r="E32" s="65">
        <f t="shared" si="3"/>
        <v>0</v>
      </c>
      <c r="F32" s="15">
        <f t="shared" si="4"/>
        <v>0</v>
      </c>
      <c r="G32" s="65">
        <f t="shared" si="5"/>
        <v>16412.62842105263</v>
      </c>
      <c r="H32" s="16">
        <f t="shared" si="6"/>
        <v>13525.722094</v>
      </c>
      <c r="I32" s="17">
        <f t="shared" si="7"/>
        <v>-2886.9063270526276</v>
      </c>
      <c r="J32" s="12">
        <f t="shared" si="8"/>
        <v>-36208.98289958351</v>
      </c>
    </row>
    <row r="33" spans="1:10" ht="12.75">
      <c r="A33" s="13">
        <v>2027</v>
      </c>
      <c r="B33" s="14">
        <f t="shared" si="0"/>
        <v>0</v>
      </c>
      <c r="C33" s="62">
        <f t="shared" si="1"/>
        <v>16412.62842105263</v>
      </c>
      <c r="D33" s="16">
        <f t="shared" si="2"/>
        <v>13525.722094</v>
      </c>
      <c r="E33" s="65">
        <f t="shared" si="3"/>
        <v>0</v>
      </c>
      <c r="F33" s="15">
        <f t="shared" si="4"/>
        <v>0</v>
      </c>
      <c r="G33" s="65">
        <f t="shared" si="5"/>
        <v>16412.62842105263</v>
      </c>
      <c r="H33" s="16">
        <f t="shared" si="6"/>
        <v>13525.722094</v>
      </c>
      <c r="I33" s="17">
        <f t="shared" si="7"/>
        <v>-2886.9063270526276</v>
      </c>
      <c r="J33" s="12">
        <f t="shared" si="8"/>
        <v>-39095.889226636136</v>
      </c>
    </row>
    <row r="34" spans="1:10" ht="12.75">
      <c r="A34" s="13">
        <v>2028</v>
      </c>
      <c r="B34" s="14">
        <f t="shared" si="0"/>
        <v>0</v>
      </c>
      <c r="C34" s="62">
        <f t="shared" si="1"/>
        <v>16412.62842105263</v>
      </c>
      <c r="D34" s="16">
        <f t="shared" si="2"/>
        <v>13525.722094</v>
      </c>
      <c r="E34" s="65">
        <f t="shared" si="3"/>
        <v>0</v>
      </c>
      <c r="F34" s="15">
        <f t="shared" si="4"/>
        <v>0</v>
      </c>
      <c r="G34" s="65">
        <f t="shared" si="5"/>
        <v>16412.62842105263</v>
      </c>
      <c r="H34" s="16">
        <f t="shared" si="6"/>
        <v>13525.722094</v>
      </c>
      <c r="I34" s="17">
        <f t="shared" si="7"/>
        <v>-2886.9063270526276</v>
      </c>
      <c r="J34" s="12">
        <f t="shared" si="8"/>
        <v>-41982.79555368876</v>
      </c>
    </row>
    <row r="35" spans="1:10" ht="12.75">
      <c r="A35" s="13">
        <v>2029</v>
      </c>
      <c r="B35" s="14">
        <f t="shared" si="0"/>
        <v>0</v>
      </c>
      <c r="C35" s="62">
        <f t="shared" si="1"/>
        <v>16412.62842105263</v>
      </c>
      <c r="D35" s="16">
        <f t="shared" si="2"/>
        <v>13525.722094</v>
      </c>
      <c r="E35" s="65">
        <f t="shared" si="3"/>
        <v>0</v>
      </c>
      <c r="F35" s="15">
        <f t="shared" si="4"/>
        <v>0</v>
      </c>
      <c r="G35" s="65">
        <f t="shared" si="5"/>
        <v>16412.62842105263</v>
      </c>
      <c r="H35" s="16">
        <f t="shared" si="6"/>
        <v>13525.722094</v>
      </c>
      <c r="I35" s="17">
        <f t="shared" si="7"/>
        <v>-2886.9063270526276</v>
      </c>
      <c r="J35" s="12">
        <f t="shared" si="8"/>
        <v>-44869.701880741384</v>
      </c>
    </row>
    <row r="36" spans="1:10" ht="12.75">
      <c r="A36" s="13">
        <v>2030</v>
      </c>
      <c r="B36" s="14">
        <f t="shared" si="0"/>
        <v>0</v>
      </c>
      <c r="C36" s="62">
        <f t="shared" si="1"/>
        <v>16412.62842105263</v>
      </c>
      <c r="D36" s="16">
        <f t="shared" si="2"/>
        <v>13525.722094</v>
      </c>
      <c r="E36" s="65">
        <f t="shared" si="3"/>
        <v>0</v>
      </c>
      <c r="F36" s="15">
        <f t="shared" si="4"/>
        <v>0</v>
      </c>
      <c r="G36" s="65">
        <f t="shared" si="5"/>
        <v>16412.62842105263</v>
      </c>
      <c r="H36" s="16">
        <f t="shared" si="6"/>
        <v>13525.722094</v>
      </c>
      <c r="I36" s="17">
        <f t="shared" si="7"/>
        <v>-2886.9063270526276</v>
      </c>
      <c r="J36" s="12">
        <f t="shared" si="8"/>
        <v>-47756.60820779401</v>
      </c>
    </row>
    <row r="37" spans="1:10" ht="12.75">
      <c r="A37" s="13">
        <v>2031</v>
      </c>
      <c r="B37" s="14">
        <f t="shared" si="0"/>
        <v>0</v>
      </c>
      <c r="C37" s="62">
        <f t="shared" si="1"/>
        <v>16412.62842105263</v>
      </c>
      <c r="D37" s="16">
        <f t="shared" si="2"/>
        <v>13525.722094</v>
      </c>
      <c r="E37" s="65">
        <f t="shared" si="3"/>
        <v>0</v>
      </c>
      <c r="F37" s="15">
        <f t="shared" si="4"/>
        <v>0</v>
      </c>
      <c r="G37" s="65">
        <f t="shared" si="5"/>
        <v>16412.62842105263</v>
      </c>
      <c r="H37" s="16">
        <f t="shared" si="6"/>
        <v>13525.722094</v>
      </c>
      <c r="I37" s="17">
        <f t="shared" si="7"/>
        <v>-2886.9063270526276</v>
      </c>
      <c r="J37" s="12">
        <f t="shared" si="8"/>
        <v>-50643.51453484663</v>
      </c>
    </row>
    <row r="38" spans="1:10" ht="12.75">
      <c r="A38" s="13">
        <v>2032</v>
      </c>
      <c r="B38" s="14">
        <f t="shared" si="0"/>
        <v>0</v>
      </c>
      <c r="C38" s="62">
        <f t="shared" si="1"/>
        <v>16412.62842105263</v>
      </c>
      <c r="D38" s="16">
        <f t="shared" si="2"/>
        <v>13525.722094</v>
      </c>
      <c r="E38" s="65">
        <f t="shared" si="3"/>
        <v>0</v>
      </c>
      <c r="F38" s="15">
        <f t="shared" si="4"/>
        <v>0</v>
      </c>
      <c r="G38" s="65">
        <f t="shared" si="5"/>
        <v>16412.62842105263</v>
      </c>
      <c r="H38" s="16">
        <f t="shared" si="6"/>
        <v>13525.722094</v>
      </c>
      <c r="I38" s="17">
        <f t="shared" si="7"/>
        <v>-2886.9063270526276</v>
      </c>
      <c r="J38" s="12">
        <f t="shared" si="8"/>
        <v>-53530.420861899256</v>
      </c>
    </row>
    <row r="39" spans="1:10" ht="12.75">
      <c r="A39" s="13">
        <v>2033</v>
      </c>
      <c r="B39" s="14">
        <f t="shared" si="0"/>
        <v>0</v>
      </c>
      <c r="C39" s="62">
        <f t="shared" si="1"/>
        <v>16412.62842105263</v>
      </c>
      <c r="D39" s="16">
        <f t="shared" si="2"/>
        <v>13525.722094</v>
      </c>
      <c r="E39" s="65">
        <f t="shared" si="3"/>
        <v>0</v>
      </c>
      <c r="F39" s="15">
        <f t="shared" si="4"/>
        <v>0</v>
      </c>
      <c r="G39" s="65">
        <f t="shared" si="5"/>
        <v>16412.62842105263</v>
      </c>
      <c r="H39" s="16">
        <f t="shared" si="6"/>
        <v>13525.722094</v>
      </c>
      <c r="I39" s="17">
        <f t="shared" si="7"/>
        <v>-2886.9063270526276</v>
      </c>
      <c r="J39" s="12">
        <f t="shared" si="8"/>
        <v>-56417.32718895188</v>
      </c>
    </row>
    <row r="40" spans="1:10" ht="12.75">
      <c r="A40" s="13">
        <v>2034</v>
      </c>
      <c r="B40" s="14">
        <f t="shared" si="0"/>
        <v>0</v>
      </c>
      <c r="C40" s="62">
        <f t="shared" si="1"/>
        <v>16412.62842105263</v>
      </c>
      <c r="D40" s="16">
        <f t="shared" si="2"/>
        <v>13525.722094</v>
      </c>
      <c r="E40" s="65">
        <f t="shared" si="3"/>
        <v>0</v>
      </c>
      <c r="F40" s="15">
        <f t="shared" si="4"/>
        <v>0</v>
      </c>
      <c r="G40" s="65">
        <f t="shared" si="5"/>
        <v>16412.62842105263</v>
      </c>
      <c r="H40" s="16">
        <f t="shared" si="6"/>
        <v>13525.722094</v>
      </c>
      <c r="I40" s="17">
        <f t="shared" si="7"/>
        <v>-2886.9063270526276</v>
      </c>
      <c r="J40" s="12">
        <f t="shared" si="8"/>
        <v>-59304.233516004504</v>
      </c>
    </row>
    <row r="41" spans="1:10" ht="12.75">
      <c r="A41" s="13">
        <v>2035</v>
      </c>
      <c r="B41" s="14">
        <f t="shared" si="0"/>
        <v>0</v>
      </c>
      <c r="C41" s="62">
        <f t="shared" si="1"/>
        <v>16412.62842105263</v>
      </c>
      <c r="D41" s="16">
        <f t="shared" si="2"/>
        <v>13525.722094</v>
      </c>
      <c r="E41" s="65">
        <f t="shared" si="3"/>
        <v>0</v>
      </c>
      <c r="F41" s="15">
        <f t="shared" si="4"/>
        <v>0</v>
      </c>
      <c r="G41" s="65">
        <f t="shared" si="5"/>
        <v>16412.62842105263</v>
      </c>
      <c r="H41" s="16">
        <f t="shared" si="6"/>
        <v>13525.722094</v>
      </c>
      <c r="I41" s="17">
        <f t="shared" si="7"/>
        <v>-2886.9063270526276</v>
      </c>
      <c r="J41" s="12">
        <f t="shared" si="8"/>
        <v>-62191.13984305713</v>
      </c>
    </row>
    <row r="42" spans="1:10" ht="12.75">
      <c r="A42" s="13">
        <v>2036</v>
      </c>
      <c r="B42" s="14">
        <f t="shared" si="0"/>
        <v>0</v>
      </c>
      <c r="C42" s="62">
        <f t="shared" si="1"/>
        <v>16412.62842105263</v>
      </c>
      <c r="D42" s="16">
        <f t="shared" si="2"/>
        <v>13525.722094</v>
      </c>
      <c r="E42" s="65">
        <f t="shared" si="3"/>
        <v>0</v>
      </c>
      <c r="F42" s="15">
        <f t="shared" si="4"/>
        <v>0</v>
      </c>
      <c r="G42" s="65">
        <f t="shared" si="5"/>
        <v>16412.62842105263</v>
      </c>
      <c r="H42" s="16">
        <f t="shared" si="6"/>
        <v>13525.722094</v>
      </c>
      <c r="I42" s="17">
        <f t="shared" si="7"/>
        <v>-2886.9063270526276</v>
      </c>
      <c r="J42" s="12">
        <f t="shared" si="8"/>
        <v>-65078.04617010975</v>
      </c>
    </row>
    <row r="43" spans="1:10" ht="12.75">
      <c r="A43" s="13">
        <v>2037</v>
      </c>
      <c r="B43" s="14">
        <f t="shared" si="0"/>
        <v>0</v>
      </c>
      <c r="C43" s="62">
        <f t="shared" si="1"/>
        <v>16412.62842105263</v>
      </c>
      <c r="D43" s="16">
        <f t="shared" si="2"/>
        <v>13525.722094</v>
      </c>
      <c r="E43" s="65">
        <f t="shared" si="3"/>
        <v>0</v>
      </c>
      <c r="F43" s="15">
        <f t="shared" si="4"/>
        <v>0</v>
      </c>
      <c r="G43" s="65">
        <f t="shared" si="5"/>
        <v>16412.62842105263</v>
      </c>
      <c r="H43" s="16">
        <f t="shared" si="6"/>
        <v>13525.722094</v>
      </c>
      <c r="I43" s="17">
        <f t="shared" si="7"/>
        <v>-2886.9063270526276</v>
      </c>
      <c r="J43" s="12">
        <f t="shared" si="8"/>
        <v>-67964.95249716238</v>
      </c>
    </row>
    <row r="44" spans="1:10" ht="12.75">
      <c r="A44" s="13">
        <v>2038</v>
      </c>
      <c r="B44" s="14">
        <f t="shared" si="0"/>
        <v>0</v>
      </c>
      <c r="C44" s="62">
        <f t="shared" si="1"/>
        <v>16412.62842105263</v>
      </c>
      <c r="D44" s="16">
        <f t="shared" si="2"/>
        <v>13525.722094</v>
      </c>
      <c r="E44" s="65">
        <f t="shared" si="3"/>
        <v>0</v>
      </c>
      <c r="F44" s="15">
        <f t="shared" si="4"/>
        <v>0</v>
      </c>
      <c r="G44" s="65">
        <f t="shared" si="5"/>
        <v>16412.62842105263</v>
      </c>
      <c r="H44" s="16">
        <f t="shared" si="6"/>
        <v>13525.722094</v>
      </c>
      <c r="I44" s="17">
        <f t="shared" si="7"/>
        <v>-2886.9063270526276</v>
      </c>
      <c r="J44" s="12">
        <f t="shared" si="8"/>
        <v>-70851.858824215</v>
      </c>
    </row>
    <row r="45" spans="1:10" ht="12.75">
      <c r="A45" s="13">
        <v>2039</v>
      </c>
      <c r="B45" s="14">
        <f t="shared" si="0"/>
        <v>0</v>
      </c>
      <c r="C45" s="62">
        <f t="shared" si="1"/>
        <v>16412.62842105263</v>
      </c>
      <c r="D45" s="16">
        <f t="shared" si="2"/>
        <v>13525.722094</v>
      </c>
      <c r="E45" s="65">
        <f t="shared" si="3"/>
        <v>0</v>
      </c>
      <c r="F45" s="15">
        <f t="shared" si="4"/>
        <v>0</v>
      </c>
      <c r="G45" s="65">
        <f t="shared" si="5"/>
        <v>16412.62842105263</v>
      </c>
      <c r="H45" s="16">
        <f t="shared" si="6"/>
        <v>13525.722094</v>
      </c>
      <c r="I45" s="17">
        <f t="shared" si="7"/>
        <v>-2886.9063270526276</v>
      </c>
      <c r="J45" s="12">
        <f t="shared" si="8"/>
        <v>-73738.76515126762</v>
      </c>
    </row>
    <row r="46" spans="1:10" ht="12.75">
      <c r="A46" s="13">
        <v>2040</v>
      </c>
      <c r="B46" s="14">
        <f t="shared" si="0"/>
        <v>0</v>
      </c>
      <c r="C46" s="62">
        <f t="shared" si="1"/>
        <v>16412.62842105263</v>
      </c>
      <c r="D46" s="16">
        <f t="shared" si="2"/>
        <v>13525.722094</v>
      </c>
      <c r="E46" s="65">
        <f t="shared" si="3"/>
        <v>0</v>
      </c>
      <c r="F46" s="15">
        <f t="shared" si="4"/>
        <v>0</v>
      </c>
      <c r="G46" s="65">
        <f t="shared" si="5"/>
        <v>16412.62842105263</v>
      </c>
      <c r="H46" s="16">
        <f t="shared" si="6"/>
        <v>13525.722094</v>
      </c>
      <c r="I46" s="17">
        <f t="shared" si="7"/>
        <v>-2886.9063270526276</v>
      </c>
      <c r="J46" s="12">
        <f t="shared" si="8"/>
        <v>-76625.67147832025</v>
      </c>
    </row>
    <row r="47" spans="1:10" ht="13.5" thickBot="1">
      <c r="A47" s="18">
        <v>2041</v>
      </c>
      <c r="B47" s="19">
        <f t="shared" si="0"/>
        <v>0</v>
      </c>
      <c r="C47" s="63">
        <f t="shared" si="1"/>
        <v>16412.62842105263</v>
      </c>
      <c r="D47" s="20">
        <f t="shared" si="2"/>
        <v>13525.722094</v>
      </c>
      <c r="E47" s="66">
        <f t="shared" si="3"/>
        <v>0</v>
      </c>
      <c r="F47" s="20">
        <f t="shared" si="4"/>
        <v>0</v>
      </c>
      <c r="G47" s="66">
        <f t="shared" si="5"/>
        <v>16412.62842105263</v>
      </c>
      <c r="H47" s="20">
        <f t="shared" si="6"/>
        <v>13525.722094</v>
      </c>
      <c r="I47" s="21">
        <f t="shared" si="7"/>
        <v>-2886.9063270526276</v>
      </c>
      <c r="J47" s="22">
        <f t="shared" si="8"/>
        <v>-79512.57780537287</v>
      </c>
    </row>
    <row r="48" spans="1:10" ht="12.75">
      <c r="A48" s="53"/>
      <c r="B48" s="15"/>
      <c r="C48" s="15"/>
      <c r="D48" s="15"/>
      <c r="E48" s="15"/>
      <c r="F48" s="15"/>
      <c r="G48" s="15"/>
      <c r="H48" s="15"/>
      <c r="I48" s="57" t="s">
        <v>51</v>
      </c>
      <c r="J48" s="58">
        <f>COUNTIF(J18:J47,"&gt;0")+1</f>
        <v>1</v>
      </c>
    </row>
    <row r="49" spans="1:10" ht="13.5" thickBot="1">
      <c r="A49" s="53"/>
      <c r="B49" s="15"/>
      <c r="C49" s="15"/>
      <c r="D49" s="15"/>
      <c r="E49" s="15"/>
      <c r="F49" s="15"/>
      <c r="G49" s="15"/>
      <c r="H49" s="15"/>
      <c r="I49" s="15"/>
      <c r="J49" s="54"/>
    </row>
    <row r="50" spans="1:10" ht="12.75">
      <c r="A50" s="39" t="s">
        <v>46</v>
      </c>
      <c r="B50" s="40"/>
      <c r="C50" s="40"/>
      <c r="D50" s="40"/>
      <c r="E50" s="72"/>
      <c r="F50" s="41"/>
      <c r="G50" s="72"/>
      <c r="H50" s="40"/>
      <c r="I50" s="47"/>
      <c r="J50" s="41"/>
    </row>
    <row r="51" spans="1:10" ht="12.75">
      <c r="A51" s="81" t="s">
        <v>50</v>
      </c>
      <c r="B51" s="79"/>
      <c r="C51" s="79"/>
      <c r="D51" s="82"/>
      <c r="E51" s="65">
        <f>-PMT(Rente,Gasfyr_levetid,Gasfyr,)</f>
        <v>3209.7034876276525</v>
      </c>
      <c r="F51" s="16">
        <f>-PMT(Rente,Fjn_levetid,(Fjn_unit+(Stikledning+Investeringsbidrag*(Areal+Kælder*0.5))*(1-VLOOKUP(Nyt_fyr_år,Rabat,2))+Frakobling_af_gas))</f>
        <v>3233.592965151675</v>
      </c>
      <c r="G51" s="65">
        <f>E51+Gasforbrug*Gl_virkningsgrad/Nyt_gasfyr_virkningsgrad*Gaspris+Gasafregningsbidrag+Gasservice</f>
        <v>19622.331908680284</v>
      </c>
      <c r="H51" s="15">
        <f>F51+Gasforbrug*Gl_virkningsgrad*0.011*Fjn_pris+Abonnement+(Areal+0.5*Kælder)*Effektafgift+Fjn_vedligehold</f>
        <v>16759.315059151675</v>
      </c>
      <c r="I51" s="51">
        <f>H51-G51</f>
        <v>-2863.016849528609</v>
      </c>
      <c r="J51" s="43"/>
    </row>
    <row r="52" spans="1:10" ht="12.75">
      <c r="A52" s="83"/>
      <c r="B52" s="79"/>
      <c r="C52" s="79"/>
      <c r="D52" s="82"/>
      <c r="E52" s="64"/>
      <c r="F52" s="43"/>
      <c r="G52" s="64"/>
      <c r="H52" s="10"/>
      <c r="I52" s="50" t="s">
        <v>30</v>
      </c>
      <c r="J52" s="43"/>
    </row>
    <row r="53" spans="1:10" ht="12.75">
      <c r="A53" s="83"/>
      <c r="B53" s="79"/>
      <c r="C53" s="79"/>
      <c r="D53" s="82"/>
      <c r="E53" s="64"/>
      <c r="F53" s="43"/>
      <c r="G53" s="64"/>
      <c r="H53" s="10"/>
      <c r="I53" s="50"/>
      <c r="J53" s="43"/>
    </row>
    <row r="54" spans="1:10" ht="12.75">
      <c r="A54" s="42" t="s">
        <v>9</v>
      </c>
      <c r="B54" s="10"/>
      <c r="C54" s="59">
        <v>20</v>
      </c>
      <c r="D54" s="10"/>
      <c r="E54" s="64"/>
      <c r="F54" s="43"/>
      <c r="G54" s="64"/>
      <c r="H54" s="10"/>
      <c r="I54" s="48"/>
      <c r="J54" s="43"/>
    </row>
    <row r="55" spans="1:10" ht="13.5" thickBot="1">
      <c r="A55" s="44" t="s">
        <v>10</v>
      </c>
      <c r="B55" s="45"/>
      <c r="C55" s="60">
        <v>25</v>
      </c>
      <c r="D55" s="45"/>
      <c r="E55" s="73"/>
      <c r="F55" s="46"/>
      <c r="G55" s="73"/>
      <c r="H55" s="45"/>
      <c r="I55" s="49"/>
      <c r="J55" s="46"/>
    </row>
    <row r="56" ht="12.75"/>
    <row r="58" ht="12">
      <c r="F58" s="15"/>
    </row>
    <row r="59" spans="6:7" ht="12">
      <c r="F59" s="15"/>
      <c r="G59" s="52"/>
    </row>
    <row r="60" ht="12">
      <c r="F60" s="15"/>
    </row>
    <row r="61" ht="12">
      <c r="F61" s="15"/>
    </row>
    <row r="62" ht="12">
      <c r="F62" s="15"/>
    </row>
    <row r="63" ht="12">
      <c r="F63" s="15"/>
    </row>
    <row r="64" ht="12">
      <c r="F64" s="15"/>
    </row>
    <row r="65" ht="12">
      <c r="F65" s="15"/>
    </row>
    <row r="66" ht="12">
      <c r="F66" s="15"/>
    </row>
    <row r="67" ht="12">
      <c r="F67" s="15"/>
    </row>
    <row r="68" ht="12">
      <c r="F68" s="15"/>
    </row>
    <row r="69" ht="12">
      <c r="F69" s="15"/>
    </row>
    <row r="70" ht="12">
      <c r="F70" s="15"/>
    </row>
  </sheetData>
  <sheetProtection password="C6D0" sheet="1" objects="1" scenarios="1"/>
  <mergeCells count="9">
    <mergeCell ref="A51:D53"/>
    <mergeCell ref="I15:I16"/>
    <mergeCell ref="J15:J16"/>
    <mergeCell ref="I1:J2"/>
    <mergeCell ref="B15:D15"/>
    <mergeCell ref="E15:F15"/>
    <mergeCell ref="G15:H15"/>
    <mergeCell ref="A6:B6"/>
    <mergeCell ref="A15:A16"/>
  </mergeCells>
  <conditionalFormatting sqref="I51">
    <cfRule type="expression" priority="2" dxfId="2" stopIfTrue="1">
      <formula>"&lt;=0"</formula>
    </cfRule>
    <cfRule type="iconSet" priority="1" dxfId="3">
      <iconSet iconSet="3TrafficLights1" reverse="1">
        <cfvo type="percent" val="0"/>
        <cfvo type="num" val="0"/>
        <cfvo type="num" val="0"/>
      </iconSet>
    </cfRule>
  </conditionalFormatting>
  <conditionalFormatting sqref="J49 J17:J47">
    <cfRule type="expression" priority="7" dxfId="2" stopIfTrue="1">
      <formula>"&lt;=0"</formula>
    </cfRule>
    <cfRule type="iconSet" priority="6" dxfId="3">
      <iconSet iconSet="3TrafficLights1" reverse="1">
        <cfvo type="percent" val="0"/>
        <cfvo type="num" val="0"/>
        <cfvo type="num" val="0"/>
      </iconSet>
    </cfRule>
  </conditionalFormatting>
  <dataValidations count="2">
    <dataValidation type="decimal" allowBlank="1" showInputMessage="1" showErrorMessage="1" sqref="H4">
      <formula1>0.9</formula1>
      <formula2>1.05</formula2>
    </dataValidation>
    <dataValidation type="whole" operator="greaterThanOrEqual" allowBlank="1" showInputMessage="1" showErrorMessage="1" sqref="D8">
      <formula1>2012</formula1>
    </dataValidation>
  </dataValidations>
  <printOptions horizontalCentered="1"/>
  <pageMargins left="0.39000000000000007" right="0.39000000000000007" top="1" bottom="1" header="0.5" footer="0.5"/>
  <pageSetup orientation="portrait" paperSize="9"/>
  <headerFooter alignWithMargins="0">
    <oddHeader>&amp;L&amp;"Calibri,Normal"&amp;K000000Beregning af tilbagebetalingstid&amp;R&amp;"Calibri,Normal"&amp;K000000&amp;D</oddHeader>
    <oddFooter>&amp;L&amp;"Lucida Grande,Normal"&amp;11&amp;K000000Version 1.0&amp;C&amp;"Calibri,Normal"&amp;K000000Fløng Klimaforening&amp;R&amp;"Calibri,Normal"&amp;K000000www.minklimaforening.dk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Terp Madsen</dc:creator>
  <cp:keywords/>
  <dc:description/>
  <cp:lastModifiedBy>Søren Terp Madsen</cp:lastModifiedBy>
  <cp:lastPrinted>2012-02-20T19:20:37Z</cp:lastPrinted>
  <dcterms:created xsi:type="dcterms:W3CDTF">2012-02-16T15:22:39Z</dcterms:created>
  <dcterms:modified xsi:type="dcterms:W3CDTF">2012-02-23T19:21:04Z</dcterms:modified>
  <cp:category/>
  <cp:version/>
  <cp:contentType/>
  <cp:contentStatus/>
</cp:coreProperties>
</file>